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9ea1dba1102845/Documents/KTC Docs/Admin/Meetings/Agendas/202526/1. April/Papers (Public)/"/>
    </mc:Choice>
  </mc:AlternateContent>
  <xr:revisionPtr revIDLastSave="194" documentId="8_{7333EBBF-49B8-4591-B880-4288B8E06C9D}" xr6:coauthVersionLast="47" xr6:coauthVersionMax="47" xr10:uidLastSave="{050DC32F-994E-4334-B6DB-CF38E4D43F96}"/>
  <bookViews>
    <workbookView xWindow="255" yWindow="780" windowWidth="28545" windowHeight="13635" activeTab="1" xr2:uid="{2D4AC17A-5DFF-49B6-B9E3-3AEFD3E32EA8}"/>
  </bookViews>
  <sheets>
    <sheet name="Payments &amp; Receipts" sheetId="1" r:id="rId1"/>
    <sheet name="Bank Rec" sheetId="4" r:id="rId2"/>
    <sheet name="Accounting Statement 31 03 25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C24" i="4"/>
  <c r="C26" i="4" s="1"/>
  <c r="C19" i="4"/>
  <c r="K28" i="1"/>
  <c r="G39" i="1"/>
  <c r="H39" i="1"/>
  <c r="E41" i="3"/>
  <c r="D40" i="3"/>
  <c r="D39" i="3"/>
  <c r="C38" i="3"/>
  <c r="C37" i="3"/>
  <c r="B36" i="3"/>
  <c r="E33" i="3"/>
  <c r="D32" i="3"/>
  <c r="C31" i="3"/>
  <c r="C30" i="3"/>
  <c r="C29" i="3"/>
  <c r="B28" i="3"/>
  <c r="E25" i="3"/>
  <c r="D24" i="3"/>
  <c r="C22" i="3"/>
  <c r="B21" i="3"/>
  <c r="E16" i="3"/>
  <c r="E45" i="3" s="1"/>
  <c r="D15" i="3"/>
  <c r="D13" i="3"/>
  <c r="D14" i="3" s="1"/>
  <c r="C12" i="3"/>
  <c r="D11" i="3"/>
  <c r="D10" i="3"/>
  <c r="C9" i="3"/>
  <c r="C8" i="3"/>
  <c r="C45" i="3" s="1"/>
  <c r="B6" i="3"/>
  <c r="B45" i="3" s="1"/>
  <c r="B3" i="3"/>
  <c r="D45" i="3" l="1"/>
  <c r="E18" i="3"/>
</calcChain>
</file>

<file path=xl/sharedStrings.xml><?xml version="1.0" encoding="utf-8"?>
<sst xmlns="http://schemas.openxmlformats.org/spreadsheetml/2006/main" count="245" uniqueCount="162">
  <si>
    <t>Date</t>
  </si>
  <si>
    <t>VAT</t>
  </si>
  <si>
    <t>NEST</t>
  </si>
  <si>
    <t>Internet/Phone</t>
  </si>
  <si>
    <t>Details</t>
  </si>
  <si>
    <t>Invoice No.</t>
  </si>
  <si>
    <t>Bank Rec</t>
  </si>
  <si>
    <t>Receipts</t>
  </si>
  <si>
    <t>Payments</t>
  </si>
  <si>
    <t>Balance</t>
  </si>
  <si>
    <t>Cost Code</t>
  </si>
  <si>
    <t>Cost Centre</t>
  </si>
  <si>
    <t>§</t>
  </si>
  <si>
    <t>Electricity</t>
  </si>
  <si>
    <t>TOILETS</t>
  </si>
  <si>
    <t>WEB SITE</t>
  </si>
  <si>
    <t>CIVIC CENTRE</t>
  </si>
  <si>
    <t>Gas</t>
  </si>
  <si>
    <t xml:space="preserve">OFFICE </t>
  </si>
  <si>
    <t>Bank Charges</t>
  </si>
  <si>
    <t>NOT BUDGETED</t>
  </si>
  <si>
    <t>Total</t>
  </si>
  <si>
    <t>Total Balance c/f</t>
  </si>
  <si>
    <t>STAFF COSTS</t>
  </si>
  <si>
    <t>Supplies</t>
  </si>
  <si>
    <t>HSBC 3543</t>
  </si>
  <si>
    <t>Nest</t>
  </si>
  <si>
    <t>Website Hosting</t>
  </si>
  <si>
    <t>Wages</t>
  </si>
  <si>
    <t>Knighton Town Council</t>
  </si>
  <si>
    <t>Bank: HSBC ***7926 Savings</t>
  </si>
  <si>
    <t>Interest</t>
  </si>
  <si>
    <t>Interest Rec</t>
  </si>
  <si>
    <t>Interest/ Bank Charges</t>
  </si>
  <si>
    <t>Hosting</t>
  </si>
  <si>
    <t>Cemetery Water Bill</t>
  </si>
  <si>
    <t>21 February 2025 - 14 March 2025</t>
  </si>
  <si>
    <t>GB500FA8W91GZI</t>
  </si>
  <si>
    <t>GB51NJ67RAEUI</t>
  </si>
  <si>
    <t>INV-28250</t>
  </si>
  <si>
    <t>GB51T2VORAEUI</t>
  </si>
  <si>
    <t>Civic Centre Gas</t>
  </si>
  <si>
    <t>Hoover head</t>
  </si>
  <si>
    <t>Kettle</t>
  </si>
  <si>
    <t xml:space="preserve">20 Litre Kitchen Indoor Outdoor Rubbish and Waste Bin </t>
  </si>
  <si>
    <t>Equipment</t>
  </si>
  <si>
    <t>2425-0008</t>
  </si>
  <si>
    <t>HygieneSuppliesDirect</t>
  </si>
  <si>
    <t xml:space="preserve">Pro-Forma 2557156 </t>
  </si>
  <si>
    <t>Bins</t>
  </si>
  <si>
    <t>HMRC</t>
  </si>
  <si>
    <t>2425-0007</t>
  </si>
  <si>
    <t>Noticeboard for the allotments</t>
  </si>
  <si>
    <t>KBM</t>
  </si>
  <si>
    <t>2503-392350</t>
  </si>
  <si>
    <t>Supplies for Noticeboard</t>
  </si>
  <si>
    <t>CR Feb 25</t>
  </si>
  <si>
    <t>2425-0005</t>
  </si>
  <si>
    <t>Viking</t>
  </si>
  <si>
    <t>Ink and Laminating pouches (cllrs allowance)</t>
  </si>
  <si>
    <t>DD</t>
  </si>
  <si>
    <t>Repairs to leaks after frost damage in shed.
Fit new locks in gents cubicles behind Knighton Hotel 
Repair leak in middle room</t>
  </si>
  <si>
    <t>From 01/04/24 to 31/03/25</t>
  </si>
  <si>
    <t>KNIGHTON TOWN COUNCIL ACCOUNTS</t>
  </si>
  <si>
    <t>1st April 2024- 31st March 2025</t>
  </si>
  <si>
    <t xml:space="preserve">Figures at </t>
  </si>
  <si>
    <t>Income</t>
  </si>
  <si>
    <t>Exp.</t>
  </si>
  <si>
    <t>GENERAL ACCOUNT 3453</t>
  </si>
  <si>
    <t>Balance at Bank @ 1st April 2024</t>
  </si>
  <si>
    <t>Less Unpresented Cheques @ 31st March 2025</t>
  </si>
  <si>
    <t>Income 1st April 2024 - 31st March 2025</t>
  </si>
  <si>
    <t>Transfers In 1st April 2024 - 31st March 2025</t>
  </si>
  <si>
    <t>Transfers to Smart Money 1st April 2024 - 31st March 2025</t>
  </si>
  <si>
    <t>pwlb loan</t>
  </si>
  <si>
    <t>Shopfront Grant Income</t>
  </si>
  <si>
    <t>Shopfront Grant Expenditure</t>
  </si>
  <si>
    <t>Expenditure Out 1st April 2024- 31st March 2025</t>
  </si>
  <si>
    <t>Balance at Bank @ 31st March 2025</t>
  </si>
  <si>
    <t>Less unpresented cheques @ 31st March 2025</t>
  </si>
  <si>
    <t>Balance c/f</t>
  </si>
  <si>
    <t>RECYCLING ACCOUNT 1663</t>
  </si>
  <si>
    <t>Expenditure 1st April 2024 - 31st March 2025</t>
  </si>
  <si>
    <t>Transfers Out 1st April 2024 - 31st March 2025</t>
  </si>
  <si>
    <t>SAVINGS ACCOUNT 7926</t>
  </si>
  <si>
    <t>interest</t>
  </si>
  <si>
    <t xml:space="preserve">Income </t>
  </si>
  <si>
    <t>Transfers out 1st April 2024 - 31st March 2025</t>
  </si>
  <si>
    <t>SMART MONEY</t>
  </si>
  <si>
    <t>total:</t>
  </si>
  <si>
    <t>Reference</t>
  </si>
  <si>
    <t>Payee</t>
  </si>
  <si>
    <t>Electricity BGL Toilets</t>
  </si>
  <si>
    <t>British Gas Business</t>
  </si>
  <si>
    <t>Civic Centre Bookings</t>
  </si>
  <si>
    <t>INCOME</t>
  </si>
  <si>
    <t>BT Internet/Phone</t>
  </si>
  <si>
    <t>BT GROUP PLC</t>
  </si>
  <si>
    <t>Repairs</t>
  </si>
  <si>
    <t>TOWN IMPROVEMENTS &amp; MAINTENANCE</t>
  </si>
  <si>
    <t>White Digital</t>
  </si>
  <si>
    <t>DWR CYMRU WELSH WA</t>
  </si>
  <si>
    <t>HSBC</t>
  </si>
  <si>
    <t>POWYS CC CREDITORS</t>
  </si>
  <si>
    <t>Shopfront Grant</t>
  </si>
  <si>
    <t>SHOPFRONT GRANTS</t>
  </si>
  <si>
    <t>Cllrs Allowance</t>
  </si>
  <si>
    <t>MEMBERS ALLOWANCES</t>
  </si>
  <si>
    <t>PAYE</t>
  </si>
  <si>
    <t>Nest Schedule February</t>
  </si>
  <si>
    <t>Amazon EU</t>
  </si>
  <si>
    <t>Construction</t>
  </si>
  <si>
    <t>064PZ001624922511</t>
  </si>
  <si>
    <t>HMRC PAYE/NIC SPLY</t>
  </si>
  <si>
    <t>Zoom  Expenses</t>
  </si>
  <si>
    <t>Zoom</t>
  </si>
  <si>
    <t>1-01609498</t>
  </si>
  <si>
    <t xml:space="preserve">ENGIE GAS </t>
  </si>
  <si>
    <t>2425-0010</t>
  </si>
  <si>
    <t xml:space="preserve">Web-576031 </t>
  </si>
  <si>
    <t>Radar Lock</t>
  </si>
  <si>
    <t>Lock &amp; Key</t>
  </si>
  <si>
    <t>M045 18</t>
  </si>
  <si>
    <t>CARD</t>
  </si>
  <si>
    <t>INV298050198</t>
  </si>
  <si>
    <t>Zoom Subscription</t>
  </si>
  <si>
    <t>REMITTANCE-832352</t>
  </si>
  <si>
    <t>Shopfront grant claim 3</t>
  </si>
  <si>
    <t>2503-18-02 &amp; 2503-18-03</t>
  </si>
  <si>
    <t>Civic Centre Booking Adult Learning Wales</t>
  </si>
  <si>
    <t>Adult Learning Wales</t>
  </si>
  <si>
    <t xml:space="preserve">Knighton Hotel Toilets Electricity </t>
  </si>
  <si>
    <t>Electricity BGL Toilets (Meter 2)</t>
  </si>
  <si>
    <t>Totals</t>
  </si>
  <si>
    <t>Staff</t>
  </si>
  <si>
    <t>BANK RECONCILIATION FINANCIAL YEAR ENDING 31 MARCH 2025</t>
  </si>
  <si>
    <t>Authority name and reference</t>
  </si>
  <si>
    <t xml:space="preserve">Prepared by: </t>
  </si>
  <si>
    <t>Name :</t>
  </si>
  <si>
    <t>L Craggs Alferoff</t>
  </si>
  <si>
    <t>Date:</t>
  </si>
  <si>
    <t>Role: Clerk &amp; RFO</t>
  </si>
  <si>
    <t>£</t>
  </si>
  <si>
    <t>Balance per bank statements as at:</t>
  </si>
  <si>
    <t>List balances on all bank accounts plus petty cash floats at:</t>
  </si>
  <si>
    <t>HSBC Account Ending 3453</t>
  </si>
  <si>
    <t>HSBC Account Ending 7926</t>
  </si>
  <si>
    <t>HSBC Account Ending 1663</t>
  </si>
  <si>
    <t>Smart Money Cymru Account</t>
  </si>
  <si>
    <t>Less: any un-presented cheques:</t>
  </si>
  <si>
    <t>Add: any unbanked cash or cheques at:</t>
  </si>
  <si>
    <t>TOTAL - NET BANK BALANCES AS AT:</t>
  </si>
  <si>
    <t>The net balances reconcile to the Cash Book for the year, as follows:</t>
  </si>
  <si>
    <t>CASH BOOK (receipts and payments) £</t>
  </si>
  <si>
    <t>Opening Balance:</t>
  </si>
  <si>
    <t>Add: Receipts in the year:</t>
  </si>
  <si>
    <t>Less: Payments in the year:</t>
  </si>
  <si>
    <t>CLOSING BALANCE PER CASH BOOK @:</t>
  </si>
  <si>
    <t>Must equal total net bank balances above.</t>
  </si>
  <si>
    <t>Builder CR</t>
  </si>
  <si>
    <t>Handyman BB</t>
  </si>
  <si>
    <t>Cllr Craggs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</si>
</sst>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3" fillId="0" borderId="0" xfId="0" applyFont="1"/>
    <xf numFmtId="4" fontId="2" fillId="0" borderId="0" xfId="0" applyNumberFormat="1" applyFont="1" applyAlignment="1">
      <alignment horizontal="right"/>
    </xf>
    <xf numFmtId="4" fontId="4" fillId="0" borderId="0" xfId="0" applyNumberFormat="1" applyFont="1"/>
    <xf numFmtId="2" fontId="2" fillId="0" borderId="0" xfId="0" applyNumberFormat="1" applyFont="1"/>
    <xf numFmtId="4" fontId="5" fillId="0" borderId="0" xfId="0" applyNumberFormat="1" applyFont="1"/>
    <xf numFmtId="4" fontId="3" fillId="0" borderId="0" xfId="0" applyNumberFormat="1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7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/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4" fontId="7" fillId="0" borderId="0" xfId="0" applyNumberFormat="1" applyFont="1"/>
  </cellXfs>
  <cellStyles count="1">
    <cellStyle name="Normal" xfId="0" builtinId="0"/>
  </cellStyles>
  <dxfs count="50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49EA1DBA1102845/Documents/KTC%20Docs/Accounts/202425%20Accounts/DRAFT%20Full%20Year%20Cashbook.xlsx" TargetMode="External"/><Relationship Id="rId1" Type="http://schemas.openxmlformats.org/officeDocument/2006/relationships/externalLinkPath" Target="/A49EA1DBA1102845/Documents/KTC%20Docs/Accounts/202425%20Accounts/DRAFT%20Full%20Year%20Cash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Accounting Statement"/>
      <sheetName val="7926"/>
      <sheetName val="1663"/>
      <sheetName val="Smart Money"/>
      <sheetName val="3453"/>
      <sheetName val="Bank Rec"/>
      <sheetName val="Invoice List"/>
      <sheetName val="Budget"/>
      <sheetName val="Virement"/>
      <sheetName val="Purchase Auth"/>
      <sheetName val="DRAFT Full Year Cashbook"/>
    </sheetNames>
    <sheetDataSet>
      <sheetData sheetId="0">
        <row r="45">
          <cell r="C45">
            <v>164414.79</v>
          </cell>
          <cell r="D45">
            <v>184810.66999999993</v>
          </cell>
        </row>
      </sheetData>
      <sheetData sheetId="1">
        <row r="6">
          <cell r="G6">
            <v>29106.91</v>
          </cell>
        </row>
      </sheetData>
      <sheetData sheetId="2">
        <row r="6">
          <cell r="I6">
            <v>19922.009999999998</v>
          </cell>
        </row>
        <row r="10">
          <cell r="H10">
            <v>19922.009999999998</v>
          </cell>
          <cell r="I10">
            <v>0</v>
          </cell>
        </row>
      </sheetData>
      <sheetData sheetId="3">
        <row r="5">
          <cell r="K5">
            <v>4918.17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0EDF75-7D64-494C-B197-FDCB2EC7258A}" name="_7926" displayName="_7926" ref="A37:I39" totalsRowCount="1" headerRowDxfId="31" dataDxfId="29" totalsRowDxfId="30">
  <autoFilter ref="A37:I38" xr:uid="{8A0EDF75-7D64-494C-B197-FDCB2EC7258A}"/>
  <tableColumns count="9">
    <tableColumn id="1" xr3:uid="{F6A6D1A1-BD48-4439-8584-027CC66270DD}" name="Date" totalsRowLabel="Total" dataDxfId="49" totalsRowDxfId="48"/>
    <tableColumn id="2" xr3:uid="{436B4F65-C9F9-41CD-85F5-F75D38230CEF}" name="Details" dataDxfId="47" totalsRowDxfId="46"/>
    <tableColumn id="3" xr3:uid="{9C2581D7-819C-42C3-ADA3-E4B00F8F1ECA}" name="Bank Rec" dataDxfId="45" totalsRowDxfId="44"/>
    <tableColumn id="4" xr3:uid="{0B5D96AD-4A67-4986-AFA6-7F80F47ED83C}" name="Receipts" dataDxfId="43" totalsRowDxfId="42"/>
    <tableColumn id="5" xr3:uid="{1D2B05C8-6195-420A-8657-3F21E36085E8}" name="Payments" dataDxfId="41" totalsRowDxfId="40"/>
    <tableColumn id="6" xr3:uid="{C46188DB-BD60-408D-8902-6E977EBBF65E}" name="Interest" dataDxfId="39" totalsRowDxfId="38"/>
    <tableColumn id="7" xr3:uid="{B2513EE0-B63D-419F-9C7B-A9A705216A7B}" name="Balance" totalsRowFunction="sum" dataDxfId="37" totalsRowDxfId="36"/>
    <tableColumn id="8" xr3:uid="{6A8FFC93-7B33-4B18-A022-81350C57A188}" name="Cost Centre" totalsRowFunction="custom" dataDxfId="35" totalsRowDxfId="34">
      <totalsRowFormula>SUMIF(_7926[Cost Centre],"Transfers",_7926[Receipts])</totalsRowFormula>
    </tableColumn>
    <tableColumn id="9" xr3:uid="{256BDC32-B2CA-47E9-A310-0B88B8EF7609}" name="Total" dataDxfId="33" totalsRowDxfId="32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6B0F30-8AB0-443A-AD39-588F1E70DD7C}" name="_3453" displayName="_3453" ref="A3:M28" totalsRowCount="1" headerRowDxfId="2" dataDxfId="0" totalsRowDxfId="1">
  <autoFilter ref="A3:M27" xr:uid="{C16B0F30-8AB0-443A-AD39-588F1E70DD7C}"/>
  <tableColumns count="13">
    <tableColumn id="1" xr3:uid="{ABA3BB23-B97F-4AA6-B4E3-52877B1FA41F}" name="Date" dataDxfId="28" totalsRowDxfId="27"/>
    <tableColumn id="2" xr3:uid="{004CDBC2-1ADE-4AF9-8792-87AD474749FA}" name="Reference" totalsRowLabel="Totals" dataDxfId="26" totalsRowDxfId="25"/>
    <tableColumn id="12" xr3:uid="{BC33C565-F9E9-4FBB-8BE8-0382AECC97CD}" name="Invoice No." dataDxfId="24" totalsRowDxfId="23"/>
    <tableColumn id="4" xr3:uid="{3F35259C-8DED-41B4-B18D-2A513FAF46F3}" name="Details" dataDxfId="22" totalsRowDxfId="21"/>
    <tableColumn id="3" xr3:uid="{71D64A4B-0FBB-402A-8387-F37D39ECE4DB}" name="Payee" dataDxfId="20" totalsRowDxfId="19"/>
    <tableColumn id="5" xr3:uid="{839D36BB-D017-4CDE-808C-FC99A77264D2}" name="Bank Rec" dataDxfId="18" totalsRowDxfId="17"/>
    <tableColumn id="6" xr3:uid="{2DC75766-E68E-46D1-BD66-A71D5F6D4B4C}" name="Receipts" dataDxfId="16" totalsRowDxfId="15"/>
    <tableColumn id="7" xr3:uid="{2A48F750-09FA-43DF-92F5-222E97EAFBE0}" name="Payments" dataDxfId="14" totalsRowDxfId="13"/>
    <tableColumn id="13" xr3:uid="{D3977C72-60DA-46AA-92AB-2B7DB9EC90FA}" name="VAT" totalsRowLabel="Total Balance c/f" dataDxfId="12" totalsRowDxfId="11"/>
    <tableColumn id="14" xr3:uid="{AA81D54C-5519-4F07-A0E3-0D81FA7DB28C}" name="Interest/ Bank Charges" dataDxfId="10" totalsRowDxfId="9"/>
    <tableColumn id="8" xr3:uid="{9EB0A8CA-A43A-4690-B8BA-4F76CC913B3D}" name="Balance" totalsRowFunction="custom" dataDxfId="8" totalsRowDxfId="7">
      <totalsRowFormula>K27</totalsRowFormula>
    </tableColumn>
    <tableColumn id="9" xr3:uid="{6871E0ED-83B6-4CA2-81FA-C0AF36C922B5}" name="Cost Code" dataDxfId="6" totalsRowDxfId="5"/>
    <tableColumn id="11" xr3:uid="{41D7C0CF-22D5-47AD-89FF-EDE057CE18AE}" name="Cost Centre" dataDxfId="4" totalsRowDxfId="3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0FE0-4DC2-4A87-9A29-2D63B63CAF29}">
  <sheetPr>
    <pageSetUpPr fitToPage="1"/>
  </sheetPr>
  <dimension ref="A1:N40"/>
  <sheetViews>
    <sheetView topLeftCell="A26" workbookViewId="0">
      <selection activeCell="G45" sqref="G45"/>
    </sheetView>
  </sheetViews>
  <sheetFormatPr defaultRowHeight="15" x14ac:dyDescent="0.25"/>
  <cols>
    <col min="1" max="1" width="11.5703125" bestFit="1" customWidth="1"/>
    <col min="2" max="2" width="13.140625" customWidth="1"/>
    <col min="3" max="3" width="36.28515625" customWidth="1"/>
    <col min="4" max="4" width="50.7109375" bestFit="1" customWidth="1"/>
    <col min="5" max="5" width="21.7109375" style="1" bestFit="1" customWidth="1"/>
    <col min="6" max="6" width="6.140625" customWidth="1"/>
    <col min="7" max="7" width="10" customWidth="1"/>
    <col min="8" max="8" width="16" bestFit="1" customWidth="1"/>
    <col min="9" max="9" width="10.7109375" customWidth="1"/>
    <col min="10" max="10" width="11" bestFit="1" customWidth="1"/>
    <col min="11" max="11" width="14.85546875" bestFit="1" customWidth="1"/>
    <col min="12" max="12" width="20" bestFit="1" customWidth="1"/>
    <col min="13" max="13" width="36.85546875" bestFit="1" customWidth="1"/>
  </cols>
  <sheetData>
    <row r="1" spans="1:14" ht="15.75" x14ac:dyDescent="0.25">
      <c r="A1" s="21" t="s">
        <v>25</v>
      </c>
      <c r="B1" s="21" t="s">
        <v>36</v>
      </c>
      <c r="C1" s="21"/>
      <c r="D1" s="21"/>
      <c r="E1" s="22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47.25" x14ac:dyDescent="0.25">
      <c r="A3" s="21" t="s">
        <v>0</v>
      </c>
      <c r="B3" s="21" t="s">
        <v>90</v>
      </c>
      <c r="C3" s="21" t="s">
        <v>5</v>
      </c>
      <c r="D3" s="21" t="s">
        <v>4</v>
      </c>
      <c r="E3" s="21" t="s">
        <v>91</v>
      </c>
      <c r="F3" s="22" t="s">
        <v>6</v>
      </c>
      <c r="G3" s="21" t="s">
        <v>7</v>
      </c>
      <c r="H3" s="21" t="s">
        <v>8</v>
      </c>
      <c r="I3" s="21" t="s">
        <v>1</v>
      </c>
      <c r="J3" s="22" t="s">
        <v>33</v>
      </c>
      <c r="K3" s="21" t="s">
        <v>9</v>
      </c>
      <c r="L3" s="21" t="s">
        <v>10</v>
      </c>
      <c r="M3" s="21" t="s">
        <v>11</v>
      </c>
      <c r="N3" s="21"/>
    </row>
    <row r="4" spans="1:14" ht="15.75" x14ac:dyDescent="0.25">
      <c r="A4" s="23">
        <v>45720</v>
      </c>
      <c r="B4" s="21"/>
      <c r="C4" s="21" t="s">
        <v>109</v>
      </c>
      <c r="D4" s="21" t="s">
        <v>2</v>
      </c>
      <c r="E4" s="24" t="s">
        <v>26</v>
      </c>
      <c r="F4" s="25" t="s">
        <v>12</v>
      </c>
      <c r="G4" s="24"/>
      <c r="H4" s="24">
        <v>139.5</v>
      </c>
      <c r="I4" s="24"/>
      <c r="J4" s="24"/>
      <c r="K4" s="24">
        <v>7962.9500000000135</v>
      </c>
      <c r="L4" s="21" t="s">
        <v>26</v>
      </c>
      <c r="M4" s="21" t="s">
        <v>23</v>
      </c>
      <c r="N4" s="21"/>
    </row>
    <row r="5" spans="1:14" ht="15.75" x14ac:dyDescent="0.25">
      <c r="A5" s="23">
        <v>45721</v>
      </c>
      <c r="B5" s="21"/>
      <c r="C5" s="21" t="s">
        <v>37</v>
      </c>
      <c r="D5" s="21" t="s">
        <v>42</v>
      </c>
      <c r="E5" s="24" t="s">
        <v>110</v>
      </c>
      <c r="F5" s="25" t="s">
        <v>12</v>
      </c>
      <c r="G5" s="24"/>
      <c r="H5" s="21">
        <v>9.16</v>
      </c>
      <c r="I5" s="21">
        <v>1.83</v>
      </c>
      <c r="J5" s="24"/>
      <c r="K5" s="24">
        <v>7951.9600000000137</v>
      </c>
      <c r="L5" s="21" t="s">
        <v>45</v>
      </c>
      <c r="M5" s="21" t="s">
        <v>16</v>
      </c>
      <c r="N5" s="21"/>
    </row>
    <row r="6" spans="1:14" ht="15.75" x14ac:dyDescent="0.25">
      <c r="A6" s="23">
        <v>45722</v>
      </c>
      <c r="B6" s="21"/>
      <c r="C6" s="21" t="s">
        <v>38</v>
      </c>
      <c r="D6" s="21" t="s">
        <v>43</v>
      </c>
      <c r="E6" s="24" t="s">
        <v>110</v>
      </c>
      <c r="F6" s="25" t="s">
        <v>12</v>
      </c>
      <c r="G6" s="24"/>
      <c r="H6" s="21">
        <v>18.28</v>
      </c>
      <c r="I6" s="21">
        <v>3.66</v>
      </c>
      <c r="J6" s="24"/>
      <c r="K6" s="24">
        <v>7930.0200000000141</v>
      </c>
      <c r="L6" s="21" t="s">
        <v>45</v>
      </c>
      <c r="M6" s="21" t="s">
        <v>16</v>
      </c>
      <c r="N6" s="21"/>
    </row>
    <row r="7" spans="1:14" ht="15.75" x14ac:dyDescent="0.25">
      <c r="A7" s="23">
        <v>45722</v>
      </c>
      <c r="B7" s="21"/>
      <c r="C7" s="21">
        <v>810040808</v>
      </c>
      <c r="D7" s="21" t="s">
        <v>92</v>
      </c>
      <c r="E7" s="24" t="s">
        <v>93</v>
      </c>
      <c r="F7" s="25" t="s">
        <v>12</v>
      </c>
      <c r="G7" s="24"/>
      <c r="H7" s="24">
        <v>42.16</v>
      </c>
      <c r="I7" s="24">
        <v>2.1</v>
      </c>
      <c r="J7" s="24"/>
      <c r="K7" s="24">
        <v>7885.7600000000139</v>
      </c>
      <c r="L7" s="21" t="s">
        <v>13</v>
      </c>
      <c r="M7" s="21" t="s">
        <v>14</v>
      </c>
      <c r="N7" s="21"/>
    </row>
    <row r="8" spans="1:14" ht="15.75" x14ac:dyDescent="0.25">
      <c r="A8" s="23">
        <v>45722</v>
      </c>
      <c r="B8" s="21"/>
      <c r="C8" s="21" t="s">
        <v>39</v>
      </c>
      <c r="D8" s="21" t="s">
        <v>27</v>
      </c>
      <c r="E8" s="24" t="s">
        <v>100</v>
      </c>
      <c r="F8" s="25" t="s">
        <v>12</v>
      </c>
      <c r="G8" s="24"/>
      <c r="H8" s="24">
        <v>33</v>
      </c>
      <c r="I8" s="24">
        <v>6.6</v>
      </c>
      <c r="J8" s="24"/>
      <c r="K8" s="24">
        <v>7846.1600000000135</v>
      </c>
      <c r="L8" s="21" t="s">
        <v>34</v>
      </c>
      <c r="M8" s="21" t="s">
        <v>15</v>
      </c>
      <c r="N8" s="21"/>
    </row>
    <row r="9" spans="1:14" ht="15.75" x14ac:dyDescent="0.25">
      <c r="A9" s="23">
        <v>45728</v>
      </c>
      <c r="B9" s="21" t="s">
        <v>51</v>
      </c>
      <c r="C9" s="21" t="s">
        <v>40</v>
      </c>
      <c r="D9" s="21" t="s">
        <v>44</v>
      </c>
      <c r="E9" s="24" t="s">
        <v>110</v>
      </c>
      <c r="F9" s="25" t="s">
        <v>12</v>
      </c>
      <c r="G9" s="24"/>
      <c r="H9" s="21">
        <v>33.32</v>
      </c>
      <c r="I9" s="21">
        <v>6.67</v>
      </c>
      <c r="J9" s="24"/>
      <c r="K9" s="24">
        <v>7806.1700000000137</v>
      </c>
      <c r="L9" s="21" t="s">
        <v>45</v>
      </c>
      <c r="M9" s="21" t="s">
        <v>14</v>
      </c>
      <c r="N9" s="21"/>
    </row>
    <row r="10" spans="1:14" ht="15.75" x14ac:dyDescent="0.25">
      <c r="A10" s="23">
        <v>45736</v>
      </c>
      <c r="B10" s="21" t="s">
        <v>46</v>
      </c>
      <c r="C10" s="21" t="s">
        <v>48</v>
      </c>
      <c r="D10" s="21" t="s">
        <v>49</v>
      </c>
      <c r="E10" s="21" t="s">
        <v>47</v>
      </c>
      <c r="F10" s="25" t="s">
        <v>12</v>
      </c>
      <c r="G10" s="24"/>
      <c r="H10" s="21">
        <v>87.49</v>
      </c>
      <c r="I10" s="21">
        <v>17.5</v>
      </c>
      <c r="J10" s="24"/>
      <c r="K10" s="24">
        <v>7701.1800000000139</v>
      </c>
      <c r="L10" s="21" t="s">
        <v>45</v>
      </c>
      <c r="M10" s="21" t="s">
        <v>14</v>
      </c>
      <c r="N10" s="21"/>
    </row>
    <row r="11" spans="1:14" ht="15.75" x14ac:dyDescent="0.25">
      <c r="A11" s="23">
        <v>45736</v>
      </c>
      <c r="B11" s="21"/>
      <c r="C11" s="21" t="s">
        <v>54</v>
      </c>
      <c r="D11" s="21" t="s">
        <v>55</v>
      </c>
      <c r="E11" s="24" t="s">
        <v>53</v>
      </c>
      <c r="F11" s="25" t="s">
        <v>12</v>
      </c>
      <c r="G11" s="24"/>
      <c r="H11" s="21">
        <v>86.02</v>
      </c>
      <c r="I11" s="21">
        <v>17.2</v>
      </c>
      <c r="J11" s="24"/>
      <c r="K11" s="24">
        <v>7597.9600000000137</v>
      </c>
      <c r="L11" s="21" t="s">
        <v>24</v>
      </c>
      <c r="M11" s="21" t="s">
        <v>99</v>
      </c>
      <c r="N11" s="21"/>
    </row>
    <row r="12" spans="1:14" ht="15.75" x14ac:dyDescent="0.25">
      <c r="A12" s="23">
        <v>45736</v>
      </c>
      <c r="B12" s="21"/>
      <c r="C12" s="21">
        <v>53</v>
      </c>
      <c r="D12" s="21" t="s">
        <v>52</v>
      </c>
      <c r="E12" s="21" t="s">
        <v>160</v>
      </c>
      <c r="F12" s="25" t="s">
        <v>12</v>
      </c>
      <c r="G12" s="24"/>
      <c r="H12" s="21">
        <v>115</v>
      </c>
      <c r="I12" s="24"/>
      <c r="J12" s="24"/>
      <c r="K12" s="24">
        <v>7482.9600000000137</v>
      </c>
      <c r="L12" s="21" t="s">
        <v>111</v>
      </c>
      <c r="M12" s="21" t="s">
        <v>99</v>
      </c>
      <c r="N12" s="21"/>
    </row>
    <row r="13" spans="1:14" ht="63" x14ac:dyDescent="0.25">
      <c r="A13" s="23">
        <v>45736</v>
      </c>
      <c r="B13" s="21"/>
      <c r="C13" s="21" t="s">
        <v>56</v>
      </c>
      <c r="D13" s="22" t="s">
        <v>61</v>
      </c>
      <c r="E13" s="21" t="s">
        <v>159</v>
      </c>
      <c r="F13" s="25" t="s">
        <v>12</v>
      </c>
      <c r="G13" s="24"/>
      <c r="H13" s="21">
        <v>416</v>
      </c>
      <c r="I13" s="24"/>
      <c r="J13" s="24"/>
      <c r="K13" s="24">
        <v>7066.9600000000137</v>
      </c>
      <c r="L13" s="21" t="s">
        <v>98</v>
      </c>
      <c r="M13" s="21" t="s">
        <v>14</v>
      </c>
      <c r="N13" s="21"/>
    </row>
    <row r="14" spans="1:14" ht="15.75" x14ac:dyDescent="0.25">
      <c r="A14" s="23">
        <v>45736</v>
      </c>
      <c r="B14" s="21" t="s">
        <v>57</v>
      </c>
      <c r="C14" s="21">
        <v>5505021</v>
      </c>
      <c r="D14" s="21" t="s">
        <v>59</v>
      </c>
      <c r="E14" s="21" t="s">
        <v>58</v>
      </c>
      <c r="F14" s="25" t="s">
        <v>12</v>
      </c>
      <c r="G14" s="24"/>
      <c r="H14" s="21">
        <v>68.81</v>
      </c>
      <c r="I14" s="21">
        <v>13.76</v>
      </c>
      <c r="J14" s="24"/>
      <c r="K14" s="24">
        <v>6984.390000000014</v>
      </c>
      <c r="L14" s="21" t="s">
        <v>106</v>
      </c>
      <c r="M14" s="21" t="s">
        <v>107</v>
      </c>
      <c r="N14" s="21"/>
    </row>
    <row r="15" spans="1:14" ht="15.75" x14ac:dyDescent="0.25">
      <c r="A15" s="23">
        <v>45736</v>
      </c>
      <c r="B15" s="21"/>
      <c r="C15" s="21" t="s">
        <v>112</v>
      </c>
      <c r="D15" s="24" t="s">
        <v>113</v>
      </c>
      <c r="E15" s="24" t="s">
        <v>50</v>
      </c>
      <c r="F15" s="25" t="s">
        <v>12</v>
      </c>
      <c r="G15" s="24"/>
      <c r="H15" s="24">
        <v>1461.58</v>
      </c>
      <c r="I15" s="24"/>
      <c r="J15" s="24"/>
      <c r="K15" s="24">
        <v>5522.810000000014</v>
      </c>
      <c r="L15" s="21" t="s">
        <v>108</v>
      </c>
      <c r="M15" s="21" t="s">
        <v>23</v>
      </c>
      <c r="N15" s="21"/>
    </row>
    <row r="16" spans="1:14" ht="15.75" x14ac:dyDescent="0.25">
      <c r="A16" s="23">
        <v>45736</v>
      </c>
      <c r="B16" s="21"/>
      <c r="C16" s="21"/>
      <c r="D16" s="24" t="s">
        <v>114</v>
      </c>
      <c r="E16" s="24" t="s">
        <v>161</v>
      </c>
      <c r="F16" s="25" t="s">
        <v>12</v>
      </c>
      <c r="G16" s="24"/>
      <c r="H16" s="24">
        <v>77.95</v>
      </c>
      <c r="I16" s="24"/>
      <c r="J16" s="24"/>
      <c r="K16" s="24">
        <v>5444.8600000000142</v>
      </c>
      <c r="L16" s="21" t="s">
        <v>115</v>
      </c>
      <c r="M16" s="21" t="s">
        <v>18</v>
      </c>
      <c r="N16" s="21"/>
    </row>
    <row r="17" spans="1:14" ht="15.75" x14ac:dyDescent="0.25">
      <c r="A17" s="23">
        <v>45737</v>
      </c>
      <c r="B17" s="21" t="s">
        <v>60</v>
      </c>
      <c r="C17" s="21" t="s">
        <v>116</v>
      </c>
      <c r="D17" s="24" t="s">
        <v>41</v>
      </c>
      <c r="E17" s="24" t="s">
        <v>117</v>
      </c>
      <c r="F17" s="25" t="s">
        <v>12</v>
      </c>
      <c r="G17" s="24"/>
      <c r="H17" s="24">
        <v>418.79</v>
      </c>
      <c r="I17" s="24">
        <v>20.94</v>
      </c>
      <c r="J17" s="24"/>
      <c r="K17" s="24">
        <v>5005.1300000000138</v>
      </c>
      <c r="L17" s="21" t="s">
        <v>17</v>
      </c>
      <c r="M17" s="21" t="s">
        <v>16</v>
      </c>
      <c r="N17" s="21"/>
    </row>
    <row r="18" spans="1:14" ht="15.75" x14ac:dyDescent="0.25">
      <c r="A18" s="23">
        <v>45737</v>
      </c>
      <c r="B18" s="21" t="s">
        <v>118</v>
      </c>
      <c r="C18" s="21" t="s">
        <v>119</v>
      </c>
      <c r="D18" s="21" t="s">
        <v>120</v>
      </c>
      <c r="E18" s="21" t="s">
        <v>121</v>
      </c>
      <c r="F18" s="25" t="s">
        <v>12</v>
      </c>
      <c r="G18" s="24"/>
      <c r="H18" s="21">
        <v>95.62</v>
      </c>
      <c r="I18" s="21">
        <v>19.13</v>
      </c>
      <c r="J18" s="24"/>
      <c r="K18" s="24">
        <v>4890.3800000000138</v>
      </c>
      <c r="L18" s="21" t="s">
        <v>24</v>
      </c>
      <c r="M18" s="21" t="s">
        <v>14</v>
      </c>
      <c r="N18" s="21"/>
    </row>
    <row r="19" spans="1:14" ht="15.75" x14ac:dyDescent="0.25">
      <c r="A19" s="23">
        <v>45740</v>
      </c>
      <c r="B19" s="21" t="s">
        <v>60</v>
      </c>
      <c r="C19" s="21" t="s">
        <v>122</v>
      </c>
      <c r="D19" s="24" t="s">
        <v>96</v>
      </c>
      <c r="E19" s="24" t="s">
        <v>97</v>
      </c>
      <c r="F19" s="25" t="s">
        <v>12</v>
      </c>
      <c r="G19" s="24"/>
      <c r="H19" s="24">
        <v>47.18</v>
      </c>
      <c r="I19" s="24">
        <v>9.44</v>
      </c>
      <c r="J19" s="24"/>
      <c r="K19" s="24">
        <v>4833.7600000000139</v>
      </c>
      <c r="L19" s="21" t="s">
        <v>3</v>
      </c>
      <c r="M19" s="21" t="s">
        <v>18</v>
      </c>
      <c r="N19" s="21"/>
    </row>
    <row r="20" spans="1:14" ht="15.75" x14ac:dyDescent="0.25">
      <c r="A20" s="23">
        <v>45740</v>
      </c>
      <c r="B20" s="21" t="s">
        <v>60</v>
      </c>
      <c r="C20" s="21">
        <v>5075555530</v>
      </c>
      <c r="D20" s="24" t="s">
        <v>35</v>
      </c>
      <c r="E20" s="24" t="s">
        <v>101</v>
      </c>
      <c r="F20" s="25" t="s">
        <v>12</v>
      </c>
      <c r="G20" s="24"/>
      <c r="H20" s="24">
        <v>400</v>
      </c>
      <c r="I20" s="24"/>
      <c r="J20" s="24"/>
      <c r="K20" s="24">
        <v>4433.7600000000139</v>
      </c>
      <c r="L20" s="21" t="s">
        <v>35</v>
      </c>
      <c r="M20" s="21" t="s">
        <v>14</v>
      </c>
      <c r="N20" s="21"/>
    </row>
    <row r="21" spans="1:14" ht="15.75" x14ac:dyDescent="0.25">
      <c r="A21" s="23">
        <v>45740</v>
      </c>
      <c r="B21" s="21" t="s">
        <v>123</v>
      </c>
      <c r="C21" s="21" t="s">
        <v>124</v>
      </c>
      <c r="D21" s="24" t="s">
        <v>125</v>
      </c>
      <c r="E21" s="24" t="s">
        <v>115</v>
      </c>
      <c r="F21" s="25" t="s">
        <v>12</v>
      </c>
      <c r="G21" s="24"/>
      <c r="H21" s="24">
        <v>12.99</v>
      </c>
      <c r="I21" s="24">
        <v>2.6</v>
      </c>
      <c r="J21" s="24"/>
      <c r="K21" s="24">
        <v>4418.1700000000137</v>
      </c>
      <c r="L21" s="21" t="s">
        <v>115</v>
      </c>
      <c r="M21" s="21" t="s">
        <v>18</v>
      </c>
      <c r="N21" s="21"/>
    </row>
    <row r="22" spans="1:14" ht="15.75" x14ac:dyDescent="0.25">
      <c r="A22" s="23">
        <v>45742</v>
      </c>
      <c r="B22" s="21"/>
      <c r="C22" s="21" t="s">
        <v>126</v>
      </c>
      <c r="D22" s="24" t="s">
        <v>127</v>
      </c>
      <c r="E22" s="24" t="s">
        <v>103</v>
      </c>
      <c r="F22" s="25" t="s">
        <v>12</v>
      </c>
      <c r="G22" s="24">
        <v>5012.07</v>
      </c>
      <c r="H22" s="24"/>
      <c r="I22" s="24"/>
      <c r="J22" s="24"/>
      <c r="K22" s="24">
        <v>9430.2400000000125</v>
      </c>
      <c r="L22" s="21" t="s">
        <v>104</v>
      </c>
      <c r="M22" s="21" t="s">
        <v>105</v>
      </c>
      <c r="N22" s="21"/>
    </row>
    <row r="23" spans="1:14" ht="15.75" x14ac:dyDescent="0.25">
      <c r="A23" s="23">
        <v>45742</v>
      </c>
      <c r="B23" s="21"/>
      <c r="C23" s="21"/>
      <c r="D23" s="24" t="s">
        <v>19</v>
      </c>
      <c r="E23" s="24" t="s">
        <v>102</v>
      </c>
      <c r="F23" s="25" t="s">
        <v>12</v>
      </c>
      <c r="G23" s="24"/>
      <c r="H23" s="24"/>
      <c r="I23" s="24"/>
      <c r="J23" s="24">
        <v>8</v>
      </c>
      <c r="K23" s="24">
        <v>9422.2400000000125</v>
      </c>
      <c r="L23" s="21" t="s">
        <v>19</v>
      </c>
      <c r="M23" s="21" t="s">
        <v>20</v>
      </c>
      <c r="N23" s="21"/>
    </row>
    <row r="24" spans="1:14" ht="15.75" x14ac:dyDescent="0.25">
      <c r="A24" s="23">
        <v>45744</v>
      </c>
      <c r="B24" s="21"/>
      <c r="C24" s="21" t="s">
        <v>128</v>
      </c>
      <c r="D24" s="24" t="s">
        <v>129</v>
      </c>
      <c r="E24" s="24" t="s">
        <v>130</v>
      </c>
      <c r="F24" s="25" t="s">
        <v>12</v>
      </c>
      <c r="G24" s="24">
        <v>426</v>
      </c>
      <c r="H24" s="24"/>
      <c r="I24" s="24"/>
      <c r="J24" s="24"/>
      <c r="K24" s="24">
        <v>9848.2400000000125</v>
      </c>
      <c r="L24" s="21" t="s">
        <v>94</v>
      </c>
      <c r="M24" s="21" t="s">
        <v>95</v>
      </c>
      <c r="N24" s="21"/>
    </row>
    <row r="25" spans="1:14" ht="15.75" x14ac:dyDescent="0.25">
      <c r="A25" s="23">
        <v>45744</v>
      </c>
      <c r="B25" s="21" t="s">
        <v>60</v>
      </c>
      <c r="C25" s="21">
        <v>800667185</v>
      </c>
      <c r="D25" s="24" t="s">
        <v>131</v>
      </c>
      <c r="E25" s="24" t="s">
        <v>93</v>
      </c>
      <c r="F25" s="25" t="s">
        <v>12</v>
      </c>
      <c r="G25" s="24"/>
      <c r="H25" s="24">
        <v>23.42</v>
      </c>
      <c r="I25" s="24">
        <v>1.17</v>
      </c>
      <c r="J25" s="24"/>
      <c r="K25" s="24">
        <v>9823.6500000000124</v>
      </c>
      <c r="L25" s="21" t="s">
        <v>13</v>
      </c>
      <c r="M25" s="21" t="s">
        <v>14</v>
      </c>
      <c r="N25" s="21"/>
    </row>
    <row r="26" spans="1:14" ht="15.75" x14ac:dyDescent="0.25">
      <c r="A26" s="23">
        <v>45744</v>
      </c>
      <c r="B26" s="21"/>
      <c r="C26" s="21"/>
      <c r="D26" s="24" t="s">
        <v>28</v>
      </c>
      <c r="E26" s="24" t="s">
        <v>134</v>
      </c>
      <c r="F26" s="25"/>
      <c r="G26" s="24"/>
      <c r="H26" s="24">
        <v>4065.9700000000003</v>
      </c>
      <c r="I26" s="24"/>
      <c r="J26" s="24"/>
      <c r="K26" s="24">
        <v>5757.6800000000112</v>
      </c>
      <c r="L26" s="21" t="s">
        <v>28</v>
      </c>
      <c r="M26" s="21" t="s">
        <v>23</v>
      </c>
      <c r="N26" s="21"/>
    </row>
    <row r="27" spans="1:14" ht="15.75" x14ac:dyDescent="0.25">
      <c r="A27" s="23">
        <v>45747</v>
      </c>
      <c r="B27" s="21"/>
      <c r="C27" s="21">
        <v>724542892</v>
      </c>
      <c r="D27" s="21" t="s">
        <v>132</v>
      </c>
      <c r="E27" s="24" t="s">
        <v>93</v>
      </c>
      <c r="F27" s="25" t="s">
        <v>12</v>
      </c>
      <c r="G27" s="24"/>
      <c r="H27" s="24">
        <v>11.36</v>
      </c>
      <c r="I27" s="24">
        <v>0.56000000000000005</v>
      </c>
      <c r="J27" s="24"/>
      <c r="K27" s="24">
        <v>5745.7600000000111</v>
      </c>
      <c r="L27" s="21" t="s">
        <v>13</v>
      </c>
      <c r="M27" s="21" t="s">
        <v>14</v>
      </c>
      <c r="N27" s="21"/>
    </row>
    <row r="28" spans="1:14" ht="15.75" x14ac:dyDescent="0.25">
      <c r="A28" s="21"/>
      <c r="B28" s="21" t="s">
        <v>133</v>
      </c>
      <c r="C28" s="21"/>
      <c r="D28" s="21"/>
      <c r="E28" s="21"/>
      <c r="F28" s="21"/>
      <c r="G28" s="24"/>
      <c r="H28" s="24"/>
      <c r="I28" s="24" t="s">
        <v>22</v>
      </c>
      <c r="J28" s="24"/>
      <c r="K28" s="24">
        <f>K27</f>
        <v>5745.7600000000111</v>
      </c>
      <c r="L28" s="21"/>
      <c r="M28" s="21"/>
      <c r="N28" s="21"/>
    </row>
    <row r="29" spans="1:14" ht="15.7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15.7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5.75" x14ac:dyDescent="0.25">
      <c r="A31" s="21" t="s">
        <v>29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15.75" x14ac:dyDescent="0.25">
      <c r="A32" s="21" t="s">
        <v>30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15.75" x14ac:dyDescent="0.25">
      <c r="A33" s="21" t="s">
        <v>29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15.75" x14ac:dyDescent="0.25">
      <c r="A34" s="21" t="s">
        <v>30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15.75" x14ac:dyDescent="0.25">
      <c r="A35" s="21" t="s">
        <v>62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15.7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15.75" x14ac:dyDescent="0.25">
      <c r="A37" s="21" t="s">
        <v>0</v>
      </c>
      <c r="B37" s="21" t="s">
        <v>4</v>
      </c>
      <c r="C37" s="21" t="s">
        <v>6</v>
      </c>
      <c r="D37" s="21" t="s">
        <v>7</v>
      </c>
      <c r="E37" s="21" t="s">
        <v>8</v>
      </c>
      <c r="F37" s="21" t="s">
        <v>31</v>
      </c>
      <c r="G37" s="21" t="s">
        <v>9</v>
      </c>
      <c r="H37" s="21" t="s">
        <v>11</v>
      </c>
      <c r="I37" s="21" t="s">
        <v>21</v>
      </c>
      <c r="J37" s="21"/>
      <c r="K37" s="21"/>
      <c r="L37" s="21"/>
      <c r="M37" s="21"/>
      <c r="N37" s="21"/>
    </row>
    <row r="38" spans="1:14" ht="15.75" x14ac:dyDescent="0.25">
      <c r="A38" s="23">
        <v>45747</v>
      </c>
      <c r="B38" s="21" t="s">
        <v>32</v>
      </c>
      <c r="C38" s="21" t="s">
        <v>12</v>
      </c>
      <c r="D38" s="21"/>
      <c r="E38" s="21"/>
      <c r="F38" s="21">
        <v>45.43</v>
      </c>
      <c r="G38" s="26">
        <v>31857.95</v>
      </c>
      <c r="H38" s="21" t="s">
        <v>31</v>
      </c>
      <c r="I38" s="26">
        <v>45.43</v>
      </c>
      <c r="J38" s="21"/>
      <c r="K38" s="21"/>
      <c r="L38" s="21"/>
      <c r="M38" s="21"/>
      <c r="N38" s="21"/>
    </row>
    <row r="39" spans="1:14" ht="15.75" x14ac:dyDescent="0.25">
      <c r="A39" s="21" t="s">
        <v>21</v>
      </c>
      <c r="B39" s="21"/>
      <c r="C39" s="21"/>
      <c r="D39" s="26"/>
      <c r="E39" s="26"/>
      <c r="F39" s="21"/>
      <c r="G39" s="26">
        <f>SUBTOTAL(109,_7926[Balance])</f>
        <v>31857.95</v>
      </c>
      <c r="H39" s="26">
        <f>SUMIF(_7926[Cost Centre],"Transfers",_7926[Receipts])</f>
        <v>0</v>
      </c>
      <c r="I39" s="26"/>
      <c r="J39" s="21"/>
      <c r="K39" s="21"/>
      <c r="L39" s="21"/>
      <c r="M39" s="21"/>
      <c r="N39" s="21"/>
    </row>
    <row r="40" spans="1:14" ht="15.75" x14ac:dyDescent="0.25">
      <c r="A40" s="21"/>
      <c r="B40" s="21"/>
      <c r="C40" s="21"/>
      <c r="D40" s="21"/>
      <c r="E40" s="22"/>
      <c r="F40" s="21"/>
      <c r="G40" s="21"/>
      <c r="H40" s="21"/>
      <c r="I40" s="21"/>
      <c r="J40" s="21"/>
      <c r="K40" s="21"/>
      <c r="L40" s="21"/>
      <c r="M40" s="21"/>
      <c r="N40" s="21"/>
    </row>
  </sheetData>
  <phoneticPr fontId="1" type="noConversion"/>
  <pageMargins left="0.23622047244094491" right="0.23622047244094491" top="0.74803149606299213" bottom="0.74803149606299213" header="0.31496062992125984" footer="0.31496062992125984"/>
  <pageSetup scale="51" fitToHeight="0" orientation="landscape" r:id="rId1"/>
  <headerFooter>
    <oddHeader>&amp;A</oddHeader>
    <oddFooter>&amp;F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572E-B438-4EA2-ABA3-21A773FF6E6A}">
  <dimension ref="A1:E27"/>
  <sheetViews>
    <sheetView tabSelected="1" workbookViewId="0">
      <selection activeCell="E7" sqref="E7"/>
    </sheetView>
  </sheetViews>
  <sheetFormatPr defaultRowHeight="15" x14ac:dyDescent="0.25"/>
  <cols>
    <col min="1" max="1" width="36.5703125" customWidth="1"/>
    <col min="2" max="2" width="10.42578125" bestFit="1" customWidth="1"/>
    <col min="3" max="3" width="15.140625" bestFit="1" customWidth="1"/>
    <col min="5" max="5" width="10.42578125" bestFit="1" customWidth="1"/>
  </cols>
  <sheetData>
    <row r="1" spans="1:5" x14ac:dyDescent="0.25">
      <c r="A1" s="19" t="s">
        <v>135</v>
      </c>
      <c r="B1" s="19"/>
      <c r="C1" s="19"/>
      <c r="D1" s="19"/>
      <c r="E1" s="19"/>
    </row>
    <row r="3" spans="1:5" x14ac:dyDescent="0.25">
      <c r="A3" t="s">
        <v>136</v>
      </c>
      <c r="B3" t="s">
        <v>29</v>
      </c>
    </row>
    <row r="4" spans="1:5" x14ac:dyDescent="0.25">
      <c r="A4" t="s">
        <v>137</v>
      </c>
      <c r="B4" t="s">
        <v>138</v>
      </c>
      <c r="C4" t="s">
        <v>139</v>
      </c>
    </row>
    <row r="5" spans="1:5" x14ac:dyDescent="0.25">
      <c r="B5" t="s">
        <v>141</v>
      </c>
    </row>
    <row r="6" spans="1:5" x14ac:dyDescent="0.25">
      <c r="B6" t="s">
        <v>140</v>
      </c>
      <c r="C6" s="2">
        <v>45761</v>
      </c>
    </row>
    <row r="7" spans="1:5" x14ac:dyDescent="0.25">
      <c r="B7" t="s">
        <v>0</v>
      </c>
      <c r="C7" t="s">
        <v>142</v>
      </c>
    </row>
    <row r="8" spans="1:5" x14ac:dyDescent="0.25">
      <c r="A8" t="s">
        <v>143</v>
      </c>
      <c r="B8" s="2">
        <v>45747</v>
      </c>
    </row>
    <row r="9" spans="1:5" ht="30" x14ac:dyDescent="0.25">
      <c r="A9" s="1" t="s">
        <v>144</v>
      </c>
      <c r="B9" s="2">
        <v>45747</v>
      </c>
    </row>
    <row r="10" spans="1:5" x14ac:dyDescent="0.25">
      <c r="A10" s="18"/>
    </row>
    <row r="11" spans="1:5" x14ac:dyDescent="0.25">
      <c r="A11" t="s">
        <v>145</v>
      </c>
      <c r="B11" s="2"/>
      <c r="C11" s="4">
        <v>5745.7600000000011</v>
      </c>
    </row>
    <row r="12" spans="1:5" x14ac:dyDescent="0.25">
      <c r="A12" t="s">
        <v>146</v>
      </c>
      <c r="B12" s="2"/>
      <c r="C12" s="3">
        <v>31857.949999999997</v>
      </c>
    </row>
    <row r="13" spans="1:5" x14ac:dyDescent="0.25">
      <c r="A13" t="s">
        <v>147</v>
      </c>
      <c r="B13" s="2"/>
      <c r="C13" s="3">
        <v>0</v>
      </c>
    </row>
    <row r="14" spans="1:5" x14ac:dyDescent="0.25">
      <c r="A14" t="s">
        <v>148</v>
      </c>
      <c r="B14" s="2"/>
      <c r="C14">
        <v>5677.3099999999986</v>
      </c>
    </row>
    <row r="15" spans="1:5" x14ac:dyDescent="0.25">
      <c r="A15" t="s">
        <v>149</v>
      </c>
      <c r="B15" s="2"/>
      <c r="C15">
        <v>0</v>
      </c>
    </row>
    <row r="17" spans="1:3" x14ac:dyDescent="0.25">
      <c r="A17" t="s">
        <v>150</v>
      </c>
      <c r="B17" s="2">
        <v>45747</v>
      </c>
      <c r="C17">
        <v>0</v>
      </c>
    </row>
    <row r="19" spans="1:3" x14ac:dyDescent="0.25">
      <c r="A19" t="s">
        <v>151</v>
      </c>
      <c r="B19" s="2">
        <v>45747</v>
      </c>
      <c r="C19" s="4">
        <f>SUM(C11:C17)</f>
        <v>43281.02</v>
      </c>
    </row>
    <row r="21" spans="1:3" x14ac:dyDescent="0.25">
      <c r="A21" t="s">
        <v>152</v>
      </c>
    </row>
    <row r="22" spans="1:3" x14ac:dyDescent="0.25">
      <c r="A22" t="s">
        <v>153</v>
      </c>
    </row>
    <row r="23" spans="1:3" x14ac:dyDescent="0.25">
      <c r="A23" t="s">
        <v>154</v>
      </c>
      <c r="C23">
        <v>63676.899999999994</v>
      </c>
    </row>
    <row r="24" spans="1:3" x14ac:dyDescent="0.25">
      <c r="A24" t="s">
        <v>155</v>
      </c>
      <c r="C24" s="3">
        <f>'[1]Current Accounting Statement'!C45</f>
        <v>164414.79</v>
      </c>
    </row>
    <row r="25" spans="1:3" x14ac:dyDescent="0.25">
      <c r="A25" t="s">
        <v>156</v>
      </c>
      <c r="C25" s="3">
        <f>'[1]Current Accounting Statement'!D45</f>
        <v>184810.66999999993</v>
      </c>
    </row>
    <row r="26" spans="1:3" x14ac:dyDescent="0.25">
      <c r="A26" t="s">
        <v>157</v>
      </c>
      <c r="C26" s="4">
        <f>(C23+C24)-C25</f>
        <v>43281.020000000077</v>
      </c>
    </row>
    <row r="27" spans="1:3" x14ac:dyDescent="0.25">
      <c r="A27" t="s">
        <v>158</v>
      </c>
    </row>
  </sheetData>
  <mergeCells count="1">
    <mergeCell ref="A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1431-4E37-4EDD-B0E9-C04F8EEAEE24}">
  <sheetPr>
    <pageSetUpPr fitToPage="1"/>
  </sheetPr>
  <dimension ref="A1:E45"/>
  <sheetViews>
    <sheetView workbookViewId="0">
      <selection activeCell="H26" sqref="H26"/>
    </sheetView>
  </sheetViews>
  <sheetFormatPr defaultRowHeight="15" x14ac:dyDescent="0.25"/>
  <cols>
    <col min="1" max="1" width="50.42578125" customWidth="1"/>
    <col min="2" max="4" width="10.140625" bestFit="1" customWidth="1"/>
  </cols>
  <sheetData>
    <row r="1" spans="1:5" x14ac:dyDescent="0.25">
      <c r="A1" s="20" t="s">
        <v>63</v>
      </c>
      <c r="B1" s="20"/>
      <c r="C1" s="20"/>
      <c r="D1" s="20"/>
      <c r="E1" s="20"/>
    </row>
    <row r="2" spans="1:5" x14ac:dyDescent="0.25">
      <c r="A2" s="20" t="s">
        <v>64</v>
      </c>
      <c r="B2" s="20"/>
      <c r="C2" s="20"/>
      <c r="D2" s="20"/>
      <c r="E2" s="20"/>
    </row>
    <row r="3" spans="1:5" x14ac:dyDescent="0.25">
      <c r="A3" s="7" t="s">
        <v>65</v>
      </c>
      <c r="B3" s="8">
        <f ca="1">TODAY()</f>
        <v>45763</v>
      </c>
      <c r="C3" s="5"/>
      <c r="D3" s="5"/>
      <c r="E3" s="5"/>
    </row>
    <row r="4" spans="1:5" x14ac:dyDescent="0.25">
      <c r="A4" s="5"/>
      <c r="B4" s="5"/>
      <c r="C4" s="5" t="s">
        <v>66</v>
      </c>
      <c r="D4" s="5" t="s">
        <v>67</v>
      </c>
      <c r="E4" s="6" t="s">
        <v>9</v>
      </c>
    </row>
    <row r="5" spans="1:5" x14ac:dyDescent="0.25">
      <c r="A5" s="9" t="s">
        <v>68</v>
      </c>
      <c r="B5" s="5"/>
      <c r="C5" s="5"/>
      <c r="D5" s="5"/>
      <c r="E5" s="6"/>
    </row>
    <row r="6" spans="1:5" x14ac:dyDescent="0.25">
      <c r="A6" s="5" t="s">
        <v>69</v>
      </c>
      <c r="B6" s="10">
        <f>[1]!_3453[[#This Row],[Balance]]</f>
        <v>9729.81</v>
      </c>
      <c r="C6" s="6"/>
      <c r="D6" s="6"/>
    </row>
    <row r="7" spans="1:5" x14ac:dyDescent="0.25">
      <c r="A7" s="5" t="s">
        <v>70</v>
      </c>
      <c r="B7" s="10"/>
      <c r="C7" s="6"/>
      <c r="D7" s="6"/>
      <c r="E7" s="6"/>
    </row>
    <row r="8" spans="1:5" x14ac:dyDescent="0.25">
      <c r="A8" s="5" t="s">
        <v>71</v>
      </c>
      <c r="C8" s="6">
        <f>[1]!_3453[[#Totals],[Receipts]]-C12</f>
        <v>11095.64</v>
      </c>
      <c r="D8" s="6"/>
      <c r="E8" s="6"/>
    </row>
    <row r="9" spans="1:5" x14ac:dyDescent="0.25">
      <c r="A9" s="5" t="s">
        <v>72</v>
      </c>
      <c r="C9" s="6">
        <f>SUMIF([1]!_3453[Cost Centre],"TRANSFERS",[1]!_3453[Receipts])</f>
        <v>125000</v>
      </c>
      <c r="D9" s="6"/>
      <c r="E9" s="6"/>
    </row>
    <row r="10" spans="1:5" x14ac:dyDescent="0.25">
      <c r="A10" s="5" t="s">
        <v>73</v>
      </c>
      <c r="C10" s="6"/>
      <c r="D10" s="6">
        <f>SUMIF([1]!_3453[Cost Code],"Transfer Smart Money",[1]!_3453[Payments])</f>
        <v>60000</v>
      </c>
      <c r="E10" s="6"/>
    </row>
    <row r="11" spans="1:5" x14ac:dyDescent="0.25">
      <c r="A11" s="5" t="s">
        <v>74</v>
      </c>
      <c r="C11" s="6"/>
      <c r="D11" s="6">
        <f>(SUMIF([1]!_3453[Cost Code],"Public Works Loan",[1]!_3453[Subtotal]))*-1</f>
        <v>2600.3000000000002</v>
      </c>
      <c r="E11" s="6"/>
    </row>
    <row r="12" spans="1:5" x14ac:dyDescent="0.25">
      <c r="A12" s="5" t="s">
        <v>75</v>
      </c>
      <c r="C12" s="6">
        <f>SUMIF([1]!_3453[Cost Code],"Shopfront Grant",[1]!_3453[Subtotal])</f>
        <v>45490.12</v>
      </c>
      <c r="E12" s="6"/>
    </row>
    <row r="13" spans="1:5" x14ac:dyDescent="0.25">
      <c r="A13" s="5" t="s">
        <v>76</v>
      </c>
      <c r="C13" s="6"/>
      <c r="D13" s="6">
        <f>SUMIF([1]!_3453[Cost Code],"Shopfront Grant Payment",[1]!_3453[Subtotal])*-1</f>
        <v>40478.050000000003</v>
      </c>
      <c r="E13" s="6"/>
    </row>
    <row r="14" spans="1:5" x14ac:dyDescent="0.25">
      <c r="A14" s="5" t="s">
        <v>77</v>
      </c>
      <c r="B14" s="6"/>
      <c r="C14" s="6"/>
      <c r="D14" s="6">
        <f>([1]!_3453[[#Totals],[Payments]]-D11)-D13</f>
        <v>82246.859999999971</v>
      </c>
      <c r="E14" s="10"/>
    </row>
    <row r="15" spans="1:5" x14ac:dyDescent="0.25">
      <c r="A15" s="5" t="s">
        <v>19</v>
      </c>
      <c r="B15" s="6"/>
      <c r="C15" s="6"/>
      <c r="D15" s="6">
        <f>SUMIF([1]!_3453[Cost Code],"Bank Charges",[1]!_3453[Interest/ Bank Charges])</f>
        <v>244.6</v>
      </c>
      <c r="E15" s="10"/>
    </row>
    <row r="16" spans="1:5" x14ac:dyDescent="0.25">
      <c r="A16" s="5" t="s">
        <v>78</v>
      </c>
      <c r="B16" s="11"/>
      <c r="C16" s="6"/>
      <c r="D16" s="6"/>
      <c r="E16" s="12">
        <f>[1]!_3453[[#Totals],[Balance]]</f>
        <v>5745.7600000000011</v>
      </c>
    </row>
    <row r="17" spans="1:5" x14ac:dyDescent="0.25">
      <c r="A17" s="5" t="s">
        <v>79</v>
      </c>
      <c r="B17" s="13"/>
      <c r="C17" s="14"/>
      <c r="E17" s="6"/>
    </row>
    <row r="18" spans="1:5" x14ac:dyDescent="0.25">
      <c r="A18" s="5" t="s">
        <v>80</v>
      </c>
      <c r="B18" s="13"/>
      <c r="C18" s="14"/>
      <c r="D18" s="6"/>
      <c r="E18" s="12">
        <f>E16-B7</f>
        <v>5745.7600000000011</v>
      </c>
    </row>
    <row r="19" spans="1:5" x14ac:dyDescent="0.25">
      <c r="A19" s="5"/>
      <c r="B19" s="14"/>
      <c r="C19" s="14"/>
      <c r="D19" s="14"/>
    </row>
    <row r="20" spans="1:5" x14ac:dyDescent="0.25">
      <c r="A20" s="9" t="s">
        <v>81</v>
      </c>
      <c r="B20" s="6"/>
      <c r="C20" s="6"/>
      <c r="D20" s="6"/>
      <c r="E20" s="6"/>
    </row>
    <row r="21" spans="1:5" x14ac:dyDescent="0.25">
      <c r="A21" s="15" t="s">
        <v>69</v>
      </c>
      <c r="B21" s="6">
        <f>'[1]1663'!I6</f>
        <v>19922.009999999998</v>
      </c>
      <c r="C21" s="6"/>
      <c r="D21" s="6"/>
    </row>
    <row r="22" spans="1:5" x14ac:dyDescent="0.25">
      <c r="A22" s="5" t="s">
        <v>71</v>
      </c>
      <c r="B22" s="6"/>
      <c r="C22" s="6">
        <f>'[1]1663'!G9</f>
        <v>0</v>
      </c>
      <c r="D22" s="6"/>
      <c r="E22" s="6"/>
    </row>
    <row r="23" spans="1:5" x14ac:dyDescent="0.25">
      <c r="A23" s="5" t="s">
        <v>82</v>
      </c>
      <c r="B23" s="6"/>
      <c r="C23" s="6"/>
      <c r="D23" s="6">
        <v>0</v>
      </c>
      <c r="E23" s="6"/>
    </row>
    <row r="24" spans="1:5" x14ac:dyDescent="0.25">
      <c r="A24" s="5" t="s">
        <v>83</v>
      </c>
      <c r="B24" s="6"/>
      <c r="C24" s="6"/>
      <c r="D24" s="6">
        <f>'[1]1663'!H10</f>
        <v>19922.009999999998</v>
      </c>
      <c r="E24" s="6"/>
    </row>
    <row r="25" spans="1:5" x14ac:dyDescent="0.25">
      <c r="A25" s="5" t="s">
        <v>78</v>
      </c>
      <c r="B25" s="5"/>
      <c r="C25" s="14"/>
      <c r="D25" s="14"/>
      <c r="E25" s="6">
        <f>'[1]1663'!I10</f>
        <v>0</v>
      </c>
    </row>
    <row r="26" spans="1:5" x14ac:dyDescent="0.25">
      <c r="A26" s="5"/>
      <c r="B26" s="14"/>
      <c r="C26" s="14"/>
      <c r="D26" s="14"/>
      <c r="E26" s="6"/>
    </row>
    <row r="27" spans="1:5" x14ac:dyDescent="0.25">
      <c r="A27" s="9" t="s">
        <v>84</v>
      </c>
      <c r="B27" s="5"/>
      <c r="C27" s="5"/>
      <c r="D27" s="5"/>
      <c r="E27" s="6"/>
    </row>
    <row r="28" spans="1:5" x14ac:dyDescent="0.25">
      <c r="A28" s="5" t="s">
        <v>69</v>
      </c>
      <c r="B28" s="6">
        <f>'[1]7926'!G6</f>
        <v>29106.91</v>
      </c>
      <c r="C28" s="6"/>
      <c r="D28" s="6"/>
    </row>
    <row r="29" spans="1:5" x14ac:dyDescent="0.25">
      <c r="A29" s="5" t="s">
        <v>85</v>
      </c>
      <c r="B29" s="6"/>
      <c r="C29" s="6">
        <f>[1]!_7926[[#Totals],[Interest]]</f>
        <v>524.03</v>
      </c>
      <c r="D29" s="6"/>
      <c r="E29" s="6"/>
    </row>
    <row r="30" spans="1:5" x14ac:dyDescent="0.25">
      <c r="A30" s="5" t="s">
        <v>86</v>
      </c>
      <c r="B30" s="6"/>
      <c r="C30" s="6">
        <f>[1]!_7926[[#Totals],[Receipts]]</f>
        <v>107305</v>
      </c>
      <c r="D30" s="6"/>
      <c r="E30" s="6"/>
    </row>
    <row r="31" spans="1:5" x14ac:dyDescent="0.25">
      <c r="A31" s="5" t="s">
        <v>72</v>
      </c>
      <c r="B31" s="6"/>
      <c r="C31" s="6">
        <f>SUMIF([1]!_7926[Cost Centre],"Transfers",[1]!_7926[Receipts])</f>
        <v>9922.01</v>
      </c>
      <c r="D31" s="6"/>
      <c r="E31" s="6"/>
    </row>
    <row r="32" spans="1:5" x14ac:dyDescent="0.25">
      <c r="A32" s="5" t="s">
        <v>87</v>
      </c>
      <c r="B32" s="6"/>
      <c r="C32" s="6"/>
      <c r="D32" s="6">
        <f>[1]!_7926[[#Totals],[Payments]]</f>
        <v>115000</v>
      </c>
      <c r="E32" s="5"/>
    </row>
    <row r="33" spans="1:5" x14ac:dyDescent="0.25">
      <c r="A33" s="15" t="s">
        <v>78</v>
      </c>
      <c r="B33" s="11"/>
      <c r="C33" s="6"/>
      <c r="D33" s="6"/>
      <c r="E33" s="6">
        <f>[1]!_7926[[#Totals],[Balance]]</f>
        <v>31857.949999999997</v>
      </c>
    </row>
    <row r="34" spans="1:5" x14ac:dyDescent="0.25">
      <c r="A34" s="16"/>
      <c r="B34" s="6"/>
      <c r="C34" s="6"/>
      <c r="D34" s="6"/>
      <c r="E34" s="6"/>
    </row>
    <row r="35" spans="1:5" x14ac:dyDescent="0.25">
      <c r="A35" s="17" t="s">
        <v>88</v>
      </c>
      <c r="B35" s="6"/>
      <c r="C35" s="6"/>
      <c r="D35" s="6"/>
      <c r="E35" s="6"/>
    </row>
    <row r="36" spans="1:5" x14ac:dyDescent="0.25">
      <c r="A36" s="15" t="s">
        <v>69</v>
      </c>
      <c r="B36" s="6">
        <f>'[1]Smart Money'!K5</f>
        <v>4918.17</v>
      </c>
      <c r="C36" s="6"/>
      <c r="D36" s="6"/>
    </row>
    <row r="37" spans="1:5" x14ac:dyDescent="0.25">
      <c r="A37" s="5" t="s">
        <v>71</v>
      </c>
      <c r="B37" s="6"/>
      <c r="C37" s="6">
        <f>SUMIF([1]!_SMC[Cost Centre],"&lt;&gt;Transfers",[1]!_SMC[Receipts])</f>
        <v>0</v>
      </c>
      <c r="D37" s="6"/>
      <c r="E37" s="6"/>
    </row>
    <row r="38" spans="1:5" x14ac:dyDescent="0.25">
      <c r="A38" s="5" t="s">
        <v>72</v>
      </c>
      <c r="B38" s="6"/>
      <c r="C38" s="6">
        <f>SUMIF([1]!_SMC[Cost Centre],"Transfers",[1]!_SMC[Receipts])</f>
        <v>60000</v>
      </c>
      <c r="D38" s="6"/>
      <c r="E38" s="6"/>
    </row>
    <row r="39" spans="1:5" x14ac:dyDescent="0.25">
      <c r="A39" s="5" t="s">
        <v>82</v>
      </c>
      <c r="B39" s="6"/>
      <c r="C39" s="6"/>
      <c r="D39" s="6">
        <f>(SUMIF([1]!_SMC[Receipts],"",[1]!_SMC[Amount]))*-1</f>
        <v>59240.859999999979</v>
      </c>
      <c r="E39" s="6"/>
    </row>
    <row r="40" spans="1:5" x14ac:dyDescent="0.25">
      <c r="A40" s="5" t="s">
        <v>83</v>
      </c>
      <c r="B40" s="6"/>
      <c r="C40" s="6"/>
      <c r="D40" s="6">
        <f>SUMIF([1]!_SMC[Cost Centre],"Transfers",[1]!_SMC[Payments])</f>
        <v>0</v>
      </c>
      <c r="E40" s="6"/>
    </row>
    <row r="41" spans="1:5" x14ac:dyDescent="0.25">
      <c r="A41" s="5" t="s">
        <v>78</v>
      </c>
      <c r="B41" s="6"/>
      <c r="C41" s="6"/>
      <c r="D41" s="6"/>
      <c r="E41" s="6">
        <f>[1]!_SMC[[#Totals],[Balance]]</f>
        <v>5677.3099999999986</v>
      </c>
    </row>
    <row r="42" spans="1:5" x14ac:dyDescent="0.25">
      <c r="A42" s="16"/>
      <c r="B42" s="6"/>
      <c r="C42" s="6"/>
      <c r="D42" s="6"/>
      <c r="E42" s="6"/>
    </row>
    <row r="43" spans="1:5" x14ac:dyDescent="0.25">
      <c r="A43" s="16"/>
      <c r="B43" s="6"/>
      <c r="C43" s="6"/>
      <c r="D43" s="6"/>
      <c r="E43" s="6"/>
    </row>
    <row r="44" spans="1:5" x14ac:dyDescent="0.25">
      <c r="A44" s="9"/>
      <c r="B44" s="6"/>
      <c r="C44" s="6"/>
      <c r="D44" s="6"/>
      <c r="E44" s="6"/>
    </row>
    <row r="45" spans="1:5" x14ac:dyDescent="0.25">
      <c r="A45" s="9" t="s">
        <v>89</v>
      </c>
      <c r="B45" s="13">
        <f>B6+B21+B28+B36-B7</f>
        <v>63676.899999999994</v>
      </c>
      <c r="C45" s="13">
        <f>C8+C12+C29+C30+C37</f>
        <v>164414.79</v>
      </c>
      <c r="D45" s="13">
        <f>D11+D15+D14+D23+D39+D13</f>
        <v>184810.66999999993</v>
      </c>
      <c r="E45" s="13">
        <f>E16+E25+E33+E41</f>
        <v>43281.02</v>
      </c>
    </row>
  </sheetData>
  <mergeCells count="2">
    <mergeCell ref="A1:E1"/>
    <mergeCell ref="A2:E2"/>
  </mergeCells>
  <pageMargins left="0.7" right="0.7" top="0.75" bottom="0.75" header="0.3" footer="0.3"/>
  <pageSetup paperSize="9" scale="9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Payments &amp; Receipts</vt:lpstr>
      <vt:lpstr>Bank Rec</vt:lpstr>
      <vt:lpstr>Accounting Statement 31 03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Knighton Town-Council</dc:creator>
  <cp:lastModifiedBy>Knighton Town-Council</cp:lastModifiedBy>
  <cp:lastPrinted>2025-04-16T13:35:12Z</cp:lastPrinted>
  <dcterms:created xsi:type="dcterms:W3CDTF">2024-11-27T15:57:08Z</dcterms:created>
  <dcterms:modified xsi:type="dcterms:W3CDTF">2025-04-16T13:35:58Z</dcterms:modified>
</cp:coreProperties>
</file>